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235" tabRatio="159" activeTab="0"/>
  </bookViews>
  <sheets>
    <sheet name="SaaS Mensual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<sst xmlns="http://schemas.openxmlformats.org/spreadsheetml/2006/main" count="107" uniqueCount="53">
  <si>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Dec</t>
  </si>
  <si>
    <t>ARR (Annualized Run Rate)</t>
  </si>
  <si>
    <t>EBITDA</t>
  </si>
  <si>
    <t>Dashboard SaaS</t>
  </si>
  <si>
    <t>Contratos mensuales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</si>
  <si>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</si>
  <si>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</si>
  <si>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</si>
  <si>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</si>
  <si>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</si>
  <si>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</si>
  <si>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</si>
  <si>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</si>
  <si>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</si>
  <si>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</si>
  <si>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</si>
  <si>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</si>
  <si>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Ventas</t>
  </si>
  <si>
    <t>Total clientes</t>
  </si>
  <si>
    <t>Rotación</t>
  </si>
  <si>
    <t>% Rotación</t>
  </si>
  <si>
    <t>Nuevos Clientes</t>
  </si>
  <si>
    <t>Δ Neto Clientes</t>
  </si>
  <si>
    <t>Upsell/Cross-sell</t>
  </si>
  <si>
    <t>Métricas de rotación</t>
  </si>
  <si>
    <t>% Rotación clientes</t>
  </si>
  <si>
    <t>% Rotación Neta MRR</t>
  </si>
  <si>
    <t>MRR Inicial</t>
  </si>
  <si>
    <t>MRR Final</t>
  </si>
  <si>
    <t>ARPU en la base instalada</t>
  </si>
  <si>
    <t>Importe medio del contrato</t>
  </si>
  <si>
    <t>Meses prepagados</t>
  </si>
  <si>
    <t>MRR (Monthly Recurring Revenue)</t>
  </si>
  <si>
    <t>ARPU (media del MRR) para nuevos clientes</t>
  </si>
  <si>
    <t>MRR perdido mes a mes</t>
  </si>
  <si>
    <t>MRR gando mes a mes</t>
  </si>
  <si>
    <t>Nuevo MRR Neto</t>
  </si>
  <si>
    <t>% MRR perdido al mes</t>
  </si>
  <si>
    <t>% MRR incrementado</t>
  </si>
  <si>
    <t>Ingresos y Gastos por Unidad</t>
  </si>
  <si>
    <t>LTV (Life Time Value)</t>
  </si>
  <si>
    <t>CAC (Customer Adquisition Cost)</t>
  </si>
  <si>
    <t>Ratio LTV / CAC</t>
  </si>
  <si>
    <t>Margen Bruto %</t>
  </si>
  <si>
    <t>Gastos Totales</t>
  </si>
  <si>
    <t>Marketing y Ventas</t>
  </si>
  <si>
    <t>I+D</t>
  </si>
  <si>
    <t>Gastos generales</t>
  </si>
  <si>
    <t>Meses para recuperar el CAC</t>
  </si>
  <si>
    <t>Métricas Financieras</t>
  </si>
  <si>
    <t>Ingresos</t>
  </si>
  <si>
    <t>Duración del contrato en meses</t>
  </si>
  <si>
    <t>Costo de mercancías (COGS)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</si>
</sst>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.0_);_(&quot;$&quot;* \(#,##0.0\);_(&quot;$&quot;* &quot;-&quot;?_);_(@_)"/>
    <numFmt numFmtId="171" formatCode="_(&quot;$&quot;* #,##0_);_(&quot;$&quot;* \(#,##0\);_(&quot;$&quot;* &quot;-&quot;?_);_(@_)"/>
    <numFmt numFmtId="172" formatCode="_(* #,##0_);_(* \(#,##0\);_(* &quot;-&quot;??_);_(@_)"/>
    <numFmt numFmtId="173" formatCode="0.0%"/>
    <numFmt numFmtId="174" formatCode="_(&quot;$&quot;* ##,#00_);_(&quot;$&quot;* \(##,#00\);_(&quot;$&quot;* &quot;-&quot;??_);_(@_)"/>
    <numFmt numFmtId="175" formatCode="_(* ##,#00_);_(* \(##,#00\);_(* &quot;-&quot;??_);_(@_)"/>
    <numFmt numFmtId="176" formatCode="#.#00%"/>
    <numFmt numFmtId="177" formatCode="_(&quot;$&quot;* ##,#00_);_(&quot;$&quot;* \(##,#00\);_(&quot;$&quot;* &quot;-&quot;?_);_(@_)"/>
    <numFmt numFmtId="178" formatCode="&quot;$&quot;#,##0"/>
    <numFmt numFmtId="179" formatCode="#,##0\ _€"/>
    <numFmt numFmtId="180" formatCode="#,##0.00\ &quot;€&quot;"/>
    <numFmt numFmtId="181" formatCode="#,##0\ &quot;€&quot;"/>
    <numFmt numFmtId="182" formatCode="_(#,##0.0_ &quot;€&quot;\);_(\(#,##0.0\ &quot;€&quot;\);_(&quot;-&quot;?_ &quot;€&quot;\);_(@_)"/>
    <numFmt numFmtId="183" formatCode="_(#,##0.0_)\ &quot;€&quot;;_(\(#,##0.0\)\ &quot;€&quot;;_(&quot;-&quot;?_)\ &quot;€&quot;;_(@_)"/>
  </numFmts>
  <fonts count="27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indexed="63"/>
      <name val="Calibri"/>
      <family val="0"/>
    </font>
    <font>
      <b/>
      <sz val="12"/>
      <color indexed="9"/>
      <name val="Calibri"/>
      <family val="0"/>
    </font>
    <font>
      <sz val="11"/>
      <color indexed="16"/>
      <name val="Calibri"/>
      <family val="2"/>
    </font>
    <font>
      <sz val="18"/>
      <color indexed="16"/>
      <name val="Arial Black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ck">
        <color indexed="16"/>
      </bottom>
    </border>
    <border>
      <left>
        <color indexed="63"/>
      </left>
      <right/>
      <top/>
      <bottom style="thick">
        <color indexed="16"/>
      </bottom>
    </border>
    <border>
      <left/>
      <right/>
      <top/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49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9" borderId="1" applyNumberFormat="0" applyAlignment="0" applyProtection="0"/>
    <xf numFmtId="0" fontId="14" fillId="13" borderId="2" applyNumberFormat="0" applyAlignment="0" applyProtection="0"/>
    <xf numFmtId="0" fontId="1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1" applyNumberFormat="0" applyAlignment="0" applyProtection="0"/>
    <xf numFmtId="0" fontId="8" fillId="17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1" fillId="9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13" borderId="0" xfId="0" applyFill="1" applyAlignment="1">
      <alignment/>
    </xf>
    <xf numFmtId="0" fontId="6" fillId="11" borderId="0" xfId="38" applyAlignment="1">
      <alignment horizontal="right"/>
    </xf>
    <xf numFmtId="168" fontId="0" fillId="0" borderId="0" xfId="46" applyNumberFormat="1" applyFont="1" applyAlignment="1">
      <alignment/>
    </xf>
    <xf numFmtId="169" fontId="0" fillId="0" borderId="0" xfId="48" applyNumberFormat="1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46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2" fontId="22" fillId="0" borderId="0" xfId="46" applyNumberFormat="1" applyFont="1" applyAlignment="1">
      <alignment/>
    </xf>
    <xf numFmtId="0" fontId="6" fillId="18" borderId="0" xfId="38" applyFont="1" applyFill="1" applyAlignment="1">
      <alignment horizontal="right"/>
    </xf>
    <xf numFmtId="0" fontId="23" fillId="0" borderId="0" xfId="56" applyFont="1" applyAlignment="1">
      <alignment/>
    </xf>
    <xf numFmtId="0" fontId="22" fillId="0" borderId="0" xfId="0" applyFont="1" applyAlignment="1">
      <alignment/>
    </xf>
    <xf numFmtId="0" fontId="24" fillId="0" borderId="12" xfId="58" applyFont="1" applyBorder="1" applyAlignment="1">
      <alignment/>
    </xf>
    <xf numFmtId="0" fontId="22" fillId="0" borderId="13" xfId="0" applyFont="1" applyBorder="1" applyAlignment="1">
      <alignment/>
    </xf>
    <xf numFmtId="0" fontId="3" fillId="0" borderId="14" xfId="58" applyBorder="1" applyAlignment="1">
      <alignment/>
    </xf>
    <xf numFmtId="0" fontId="0" fillId="0" borderId="15" xfId="0" applyBorder="1" applyAlignment="1">
      <alignment/>
    </xf>
    <xf numFmtId="0" fontId="25" fillId="0" borderId="15" xfId="59" applyFont="1" applyBorder="1" applyAlignment="1">
      <alignment/>
    </xf>
    <xf numFmtId="0" fontId="4" fillId="0" borderId="15" xfId="59" applyBorder="1" applyAlignment="1">
      <alignment/>
    </xf>
    <xf numFmtId="172" fontId="22" fillId="0" borderId="0" xfId="0" applyNumberFormat="1" applyFont="1" applyAlignment="1">
      <alignment/>
    </xf>
    <xf numFmtId="10" fontId="22" fillId="0" borderId="0" xfId="46" applyNumberFormat="1" applyFont="1" applyAlignment="1">
      <alignment/>
    </xf>
    <xf numFmtId="180" fontId="22" fillId="0" borderId="0" xfId="48" applyNumberFormat="1" applyFont="1" applyAlignment="1">
      <alignment/>
    </xf>
    <xf numFmtId="173" fontId="22" fillId="0" borderId="0" xfId="0" applyNumberFormat="1" applyFont="1" applyAlignment="1">
      <alignment/>
    </xf>
    <xf numFmtId="173" fontId="22" fillId="0" borderId="16" xfId="0" applyNumberFormat="1" applyFont="1" applyBorder="1" applyAlignment="1">
      <alignment/>
    </xf>
    <xf numFmtId="181" fontId="0" fillId="0" borderId="0" xfId="48" applyNumberFormat="1" applyFont="1" applyAlignment="1">
      <alignment/>
    </xf>
    <xf numFmtId="181" fontId="0" fillId="0" borderId="0" xfId="0" applyNumberFormat="1" applyAlignment="1">
      <alignment/>
    </xf>
    <xf numFmtId="0" fontId="0" fillId="0" borderId="16" xfId="0" applyBorder="1" applyAlignment="1">
      <alignment/>
    </xf>
    <xf numFmtId="180" fontId="0" fillId="0" borderId="16" xfId="48" applyNumberFormat="1" applyFont="1" applyBorder="1" applyAlignment="1">
      <alignment/>
    </xf>
    <xf numFmtId="183" fontId="0" fillId="0" borderId="0" xfId="48" applyNumberFormat="1" applyFont="1" applyAlignment="1">
      <alignment/>
    </xf>
    <xf numFmtId="0" fontId="5" fillId="0" borderId="17" xfId="60" applyFont="1" applyBorder="1" applyAlignment="1">
      <alignment/>
    </xf>
    <xf numFmtId="0" fontId="5" fillId="0" borderId="17" xfId="60" applyBorder="1" applyAlignment="1">
      <alignment/>
    </xf>
    <xf numFmtId="180" fontId="5" fillId="0" borderId="17" xfId="60" applyNumberFormat="1" applyBorder="1" applyAlignment="1">
      <alignment/>
    </xf>
    <xf numFmtId="9" fontId="22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181" fontId="22" fillId="0" borderId="0" xfId="48" applyNumberFormat="1" applyFont="1" applyAlignment="1">
      <alignment/>
    </xf>
    <xf numFmtId="164" fontId="22" fillId="0" borderId="0" xfId="47" applyNumberFormat="1" applyFont="1" applyAlignment="1">
      <alignment/>
    </xf>
    <xf numFmtId="0" fontId="5" fillId="0" borderId="18" xfId="60" applyBorder="1" applyAlignment="1">
      <alignment/>
    </xf>
    <xf numFmtId="183" fontId="5" fillId="0" borderId="18" xfId="60" applyNumberForma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MRR Bookings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4"/>
          <c:w val="0.955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Mensual'!$B$14:$C$14</c:f>
              <c:strCache>
                <c:ptCount val="1"/>
                <c:pt idx="0">
                  <c:v>Upsell/Cross-sell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Mensual'!$D$13:$I$13</c:f>
              <c:strCache/>
            </c:strRef>
          </c:cat>
          <c:val>
            <c:numRef>
              <c:f>'SaaS Mensual'!$D$14:$I$14</c:f>
              <c:numCache/>
            </c:numRef>
          </c:val>
          <c:smooth val="0"/>
        </c:ser>
        <c:ser>
          <c:idx val="1"/>
          <c:order val="1"/>
          <c:tx>
            <c:strRef>
              <c:f>'SaaS Mensual'!$B$15:$C$15</c:f>
              <c:strCache>
                <c:ptCount val="1"/>
                <c:pt idx="0">
                  <c:v>MRR perdido mes a mes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Mensual'!$D$13:$I$13</c:f>
              <c:strCache/>
            </c:strRef>
          </c:cat>
          <c:val>
            <c:numRef>
              <c:f>'SaaS Mensual'!$D$15:$I$15</c:f>
              <c:numCache/>
            </c:numRef>
          </c:val>
          <c:smooth val="0"/>
        </c:ser>
        <c:ser>
          <c:idx val="2"/>
          <c:order val="2"/>
          <c:tx>
            <c:strRef>
              <c:f>'SaaS Mensual'!$B$16:$C$16</c:f>
              <c:strCache>
                <c:ptCount val="1"/>
                <c:pt idx="0">
                  <c:v>MRR gando mes a mes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Mensual'!$D$13:$I$13</c:f>
              <c:strCache/>
            </c:strRef>
          </c:cat>
          <c:val>
            <c:numRef>
              <c:f>'SaaS Mensual'!$D$16:$I$16</c:f>
              <c:numCache/>
            </c:numRef>
          </c:val>
          <c:smooth val="0"/>
        </c:ser>
        <c:ser>
          <c:idx val="3"/>
          <c:order val="3"/>
          <c:tx>
            <c:strRef>
              <c:f>'SaaS Mensual'!$B$17:$C$17</c:f>
              <c:strCache>
                <c:ptCount val="1"/>
                <c:pt idx="0">
                  <c:v>Nuevo MRR Neto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Mensual'!$D$13:$I$13</c:f>
              <c:strCache/>
            </c:strRef>
          </c:cat>
          <c:val>
            <c:numRef>
              <c:f>'SaaS Mensual'!$D$17:$I$17</c:f>
              <c:numCache/>
            </c:numRef>
          </c:val>
          <c:smooth val="0"/>
        </c:ser>
        <c:marker val="1"/>
        <c:axId val="63919212"/>
        <c:axId val="38401997"/>
      </c:line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01997"/>
        <c:crosses val="autoZero"/>
        <c:auto val="1"/>
        <c:lblOffset val="100"/>
        <c:tickLblSkip val="1"/>
        <c:noMultiLvlLbl val="0"/>
      </c:catAx>
      <c:valAx>
        <c:axId val="38401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19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525"/>
          <c:y val="0.128"/>
          <c:w val="0.96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Mensual'!$B$33</c:f>
              <c:strCache>
                <c:ptCount val="1"/>
                <c:pt idx="0">
                  <c:v>% Rotación Neta MRR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Mensual'!$C$23:$I$23</c:f>
              <c:strCache/>
            </c:strRef>
          </c:cat>
          <c:val>
            <c:numRef>
              <c:f>'SaaS Mensual'!$C$33:$I$33</c:f>
              <c:numCache/>
            </c:numRef>
          </c:val>
          <c:smooth val="0"/>
        </c:ser>
        <c:marker val="1"/>
        <c:axId val="36547846"/>
        <c:axId val="60495159"/>
      </c:line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95159"/>
        <c:crosses val="autoZero"/>
        <c:auto val="1"/>
        <c:lblOffset val="100"/>
        <c:tickLblSkip val="1"/>
        <c:noMultiLvlLbl val="0"/>
      </c:catAx>
      <c:valAx>
        <c:axId val="60495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47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Nuevos Clientes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34"/>
          <c:w val="0.9222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Mensual'!$B$6:$C$6</c:f>
              <c:strCache>
                <c:ptCount val="1"/>
                <c:pt idx="0">
                  <c:v>Nuevos Clientes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Mensual'!$D$5:$I$5</c:f>
              <c:strCache/>
            </c:strRef>
          </c:cat>
          <c:val>
            <c:numRef>
              <c:f>'SaaS Mensual'!$D$6:$I$6</c:f>
              <c:numCache/>
            </c:numRef>
          </c:val>
          <c:smooth val="0"/>
        </c:ser>
        <c:marker val="1"/>
        <c:axId val="10073654"/>
        <c:axId val="23554023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554023"/>
        <c:crosses val="autoZero"/>
        <c:auto val="1"/>
        <c:lblOffset val="100"/>
        <c:tickLblSkip val="1"/>
        <c:noMultiLvlLbl val="0"/>
      </c:catAx>
      <c:valAx>
        <c:axId val="23554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73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5"/>
          <c:y val="0.15425"/>
          <c:w val="0.9222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Mensual'!$B$7</c:f>
              <c:strCache>
                <c:ptCount val="1"/>
                <c:pt idx="0">
                  <c:v>Importe medio del contrato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Mensual'!$C$5:$I$5</c:f>
              <c:strCache/>
            </c:strRef>
          </c:cat>
          <c:val>
            <c:numRef>
              <c:f>'SaaS Mensual'!$C$7:$I$7</c:f>
              <c:numCache/>
            </c:numRef>
          </c:val>
          <c:smooth val="0"/>
        </c:ser>
        <c:marker val="1"/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59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425"/>
          <c:y val="0.2565"/>
          <c:w val="0.914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Mensual'!$B$9</c:f>
              <c:strCache>
                <c:ptCount val="1"/>
                <c:pt idx="0">
                  <c:v>Meses prepagados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Mensual'!$C$5:$I$5</c:f>
              <c:strCache/>
            </c:strRef>
          </c:cat>
          <c:val>
            <c:numRef>
              <c:f>'SaaS Mensual'!$C$9:$I$9</c:f>
              <c:numCache/>
            </c:numRef>
          </c:val>
          <c:smooth val="0"/>
        </c:ser>
        <c:marker val="1"/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22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Rotación y Expansión en % MRR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75"/>
          <c:w val="0.5492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Mensual'!$B$30</c:f>
              <c:strCache>
                <c:ptCount val="1"/>
                <c:pt idx="0">
                  <c:v>% Rotación clientes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Mensual'!$C$23:$I$23</c:f>
              <c:strCache/>
            </c:strRef>
          </c:cat>
          <c:val>
            <c:numRef>
              <c:f>'SaaS Mensual'!$C$30:$I$30</c:f>
              <c:numCache/>
            </c:numRef>
          </c:val>
          <c:smooth val="0"/>
        </c:ser>
        <c:ser>
          <c:idx val="1"/>
          <c:order val="1"/>
          <c:tx>
            <c:strRef>
              <c:f>'SaaS Mensual'!$B$31</c:f>
              <c:strCache>
                <c:ptCount val="1"/>
                <c:pt idx="0">
                  <c:v>% MRR perdido al mes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Mensual'!$C$23:$I$23</c:f>
              <c:strCache/>
            </c:strRef>
          </c:cat>
          <c:val>
            <c:numRef>
              <c:f>'SaaS Mensual'!$C$31:$I$31</c:f>
              <c:numCache/>
            </c:numRef>
          </c:val>
          <c:smooth val="0"/>
        </c:ser>
        <c:ser>
          <c:idx val="2"/>
          <c:order val="2"/>
          <c:tx>
            <c:strRef>
              <c:f>'SaaS Mensual'!$B$32</c:f>
              <c:strCache>
                <c:ptCount val="1"/>
                <c:pt idx="0">
                  <c:v>% MRR incrementado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Mensual'!$C$23:$I$23</c:f>
              <c:strCache/>
            </c:strRef>
          </c:cat>
          <c:val>
            <c:numRef>
              <c:f>'SaaS Mensual'!$C$32:$I$32</c:f>
              <c:numCache/>
            </c:numRef>
          </c:val>
          <c:smooth val="0"/>
        </c:ser>
        <c:marker val="1"/>
        <c:axId val="10305108"/>
        <c:axId val="25637109"/>
      </c:line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05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4195"/>
          <c:w val="0.3345"/>
          <c:h val="0.2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5"/>
          <c:y val="0.17125"/>
          <c:w val="0.925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Mensual'!$B$38</c:f>
              <c:strCache>
                <c:ptCount val="1"/>
                <c:pt idx="0">
                  <c:v>Ratio LTV / CAC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Mensual'!$C$35:$I$35</c:f>
              <c:strCache/>
            </c:strRef>
          </c:cat>
          <c:val>
            <c:numRef>
              <c:f>'SaaS Mensual'!$C$38:$I$38</c:f>
              <c:numCache/>
            </c:numRef>
          </c:val>
          <c:smooth val="0"/>
        </c:ser>
        <c:marker val="1"/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07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9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"/>
          <c:y val="0.29175"/>
          <c:w val="0.905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Mensual'!$B$39</c:f>
              <c:strCache>
                <c:ptCount val="1"/>
                <c:pt idx="0">
                  <c:v>Meses para recuperar el CAC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Mensual'!$C$35:$I$35</c:f>
              <c:strCache/>
            </c:strRef>
          </c:cat>
          <c:val>
            <c:numRef>
              <c:f>'SaaS Mensual'!$C$39:$I$39</c:f>
              <c:numCache/>
            </c:numRef>
          </c:val>
          <c:smooth val="0"/>
        </c:ser>
        <c:marker val="1"/>
        <c:axId val="33188360"/>
        <c:axId val="30259785"/>
      </c:lineChart>
      <c:catAx>
        <c:axId val="33188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18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5"/>
          <c:y val="0.15525"/>
          <c:w val="0.933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Mensual'!$B$20</c:f>
              <c:strCache>
                <c:ptCount val="1"/>
                <c:pt idx="0">
                  <c:v>MRR Final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Mensual'!$C$13:$I$13</c:f>
              <c:strCache/>
            </c:strRef>
          </c:cat>
          <c:val>
            <c:numRef>
              <c:f>'SaaS Mensual'!$C$20:$I$20</c:f>
              <c:numCache/>
            </c:numRef>
          </c:val>
          <c:smooth val="0"/>
        </c:ser>
        <c:marker val="1"/>
        <c:axId val="3902610"/>
        <c:axId val="35123491"/>
      </c:lineChart>
      <c:catAx>
        <c:axId val="3902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MRR Medio para nuevos clientes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25825"/>
          <c:w val="0.90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'SaaS Mensual'!$B$10</c:f>
              <c:strCache>
                <c:ptCount val="1"/>
                <c:pt idx="0">
                  <c:v>ARPU (media del MRR) para nuevos clientes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'SaaS Mensual'!$C$5:$I$5</c:f>
              <c:strCache/>
            </c:strRef>
          </c:cat>
          <c:val>
            <c:numRef>
              <c:f>'SaaS Mensual'!$C$10:$I$10</c:f>
              <c:numCache/>
            </c:numRef>
          </c:val>
          <c:smooth val="0"/>
        </c:ser>
        <c:marker val="1"/>
        <c:axId val="47675964"/>
        <c:axId val="26430493"/>
      </c:line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30493"/>
        <c:crosses val="autoZero"/>
        <c:auto val="1"/>
        <c:lblOffset val="100"/>
        <c:tickLblSkip val="1"/>
        <c:noMultiLvlLbl val="0"/>
      </c:catAx>
      <c:valAx>
        <c:axId val="26430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75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</cdr:x>
      <cdr:y>0.16675</cdr:y>
    </cdr:from>
    <cdr:to>
      <cdr:x>0.7985</cdr:x>
      <cdr:y>0.2275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638175"/>
          <a:ext cx="923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MRR</a:t>
          </a:r>
        </a:p>
      </cdr:txBody>
    </cdr:sp>
  </cdr:relSizeAnchor>
  <cdr:relSizeAnchor xmlns:cdr="http://schemas.openxmlformats.org/drawingml/2006/chartDrawing">
    <cdr:from>
      <cdr:x>0.659</cdr:x>
      <cdr:y>0.38575</cdr:y>
    </cdr:from>
    <cdr:to>
      <cdr:x>0.97125</cdr:x>
      <cdr:y>0.4515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1485900"/>
          <a:ext cx="1200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Nuevo MRR Neto</a:t>
          </a:r>
        </a:p>
      </cdr:txBody>
    </cdr:sp>
  </cdr:relSizeAnchor>
  <cdr:relSizeAnchor xmlns:cdr="http://schemas.openxmlformats.org/drawingml/2006/chartDrawing">
    <cdr:from>
      <cdr:x>0.38825</cdr:x>
      <cdr:y>0.5545</cdr:y>
    </cdr:from>
    <cdr:to>
      <cdr:x>0.77075</cdr:x>
      <cdr:y>0.63575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143125"/>
          <a:ext cx="1466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MRR Ganado</a:t>
          </a:r>
        </a:p>
      </cdr:txBody>
    </cdr:sp>
  </cdr:relSizeAnchor>
  <cdr:relSizeAnchor xmlns:cdr="http://schemas.openxmlformats.org/drawingml/2006/chartDrawing">
    <cdr:from>
      <cdr:x>0.47475</cdr:x>
      <cdr:y>0.79925</cdr:y>
    </cdr:from>
    <cdr:to>
      <cdr:x>0.8945</cdr:x>
      <cdr:y>0.865</cdr:y>
    </cdr:to>
    <cdr:sp>
      <cdr:nvSpPr>
        <cdr:cNvPr id="4" name="TextBox 4"/>
        <cdr:cNvSpPr txBox="1">
          <a:spLocks noChangeArrowheads="1"/>
        </cdr:cNvSpPr>
      </cdr:nvSpPr>
      <cdr:spPr>
        <a:xfrm>
          <a:off x="1819275" y="3086100"/>
          <a:ext cx="1609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MRR Perdido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25</xdr:col>
      <xdr:colOff>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3020675" y="571500"/>
        <a:ext cx="38385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13</xdr:row>
      <xdr:rowOff>123825</xdr:rowOff>
    </xdr:from>
    <xdr:to>
      <xdr:col>31</xdr:col>
      <xdr:colOff>9525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17002125" y="2828925"/>
        <a:ext cx="25812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21</xdr:col>
      <xdr:colOff>409575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13020675" y="7343775"/>
        <a:ext cx="22383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57150</xdr:colOff>
      <xdr:row>36</xdr:row>
      <xdr:rowOff>180975</xdr:rowOff>
    </xdr:from>
    <xdr:to>
      <xdr:col>31</xdr:col>
      <xdr:colOff>0</xdr:colOff>
      <xdr:row>47</xdr:row>
      <xdr:rowOff>180975</xdr:rowOff>
    </xdr:to>
    <xdr:graphicFrame>
      <xdr:nvGraphicFramePr>
        <xdr:cNvPr id="4" name="Chart 4"/>
        <xdr:cNvGraphicFramePr/>
      </xdr:nvGraphicFramePr>
      <xdr:xfrm>
        <a:off x="17659350" y="7334250"/>
        <a:ext cx="1914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22</xdr:row>
      <xdr:rowOff>190500</xdr:rowOff>
    </xdr:from>
    <xdr:to>
      <xdr:col>25</xdr:col>
      <xdr:colOff>0</xdr:colOff>
      <xdr:row>36</xdr:row>
      <xdr:rowOff>0</xdr:rowOff>
    </xdr:to>
    <xdr:graphicFrame>
      <xdr:nvGraphicFramePr>
        <xdr:cNvPr id="5" name="Chart 5"/>
        <xdr:cNvGraphicFramePr/>
      </xdr:nvGraphicFramePr>
      <xdr:xfrm>
        <a:off x="13020675" y="4638675"/>
        <a:ext cx="3838575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28575</xdr:colOff>
      <xdr:row>51</xdr:row>
      <xdr:rowOff>85725</xdr:rowOff>
    </xdr:from>
    <xdr:to>
      <xdr:col>22</xdr:col>
      <xdr:colOff>495300</xdr:colOff>
      <xdr:row>61</xdr:row>
      <xdr:rowOff>57150</xdr:rowOff>
    </xdr:to>
    <xdr:graphicFrame>
      <xdr:nvGraphicFramePr>
        <xdr:cNvPr id="6" name="Chart 7"/>
        <xdr:cNvGraphicFramePr/>
      </xdr:nvGraphicFramePr>
      <xdr:xfrm>
        <a:off x="13049250" y="10115550"/>
        <a:ext cx="2905125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504825</xdr:colOff>
      <xdr:row>51</xdr:row>
      <xdr:rowOff>76200</xdr:rowOff>
    </xdr:from>
    <xdr:to>
      <xdr:col>29</xdr:col>
      <xdr:colOff>542925</xdr:colOff>
      <xdr:row>61</xdr:row>
      <xdr:rowOff>38100</xdr:rowOff>
    </xdr:to>
    <xdr:graphicFrame>
      <xdr:nvGraphicFramePr>
        <xdr:cNvPr id="7" name="Chart 8"/>
        <xdr:cNvGraphicFramePr/>
      </xdr:nvGraphicFramePr>
      <xdr:xfrm>
        <a:off x="16754475" y="10106025"/>
        <a:ext cx="21431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2</xdr:row>
      <xdr:rowOff>19050</xdr:rowOff>
    </xdr:from>
    <xdr:to>
      <xdr:col>31</xdr:col>
      <xdr:colOff>0</xdr:colOff>
      <xdr:row>13</xdr:row>
      <xdr:rowOff>9525</xdr:rowOff>
    </xdr:to>
    <xdr:graphicFrame>
      <xdr:nvGraphicFramePr>
        <xdr:cNvPr id="8" name="Chart 9"/>
        <xdr:cNvGraphicFramePr/>
      </xdr:nvGraphicFramePr>
      <xdr:xfrm>
        <a:off x="16992600" y="590550"/>
        <a:ext cx="2581275" cy="212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9525</xdr:colOff>
      <xdr:row>48</xdr:row>
      <xdr:rowOff>171450</xdr:rowOff>
    </xdr:from>
    <xdr:to>
      <xdr:col>31</xdr:col>
      <xdr:colOff>19050</xdr:colOff>
      <xdr:row>50</xdr:row>
      <xdr:rowOff>57150</xdr:rowOff>
    </xdr:to>
    <xdr:sp>
      <xdr:nvSpPr>
        <xdr:cNvPr id="9" name="Rectangle 20"/>
        <xdr:cNvSpPr>
          <a:spLocks/>
        </xdr:cNvSpPr>
      </xdr:nvSpPr>
      <xdr:spPr>
        <a:xfrm>
          <a:off x="13030200" y="9629775"/>
          <a:ext cx="6562725" cy="2667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Ingresos y Gastos por Unidad</a:t>
          </a:r>
        </a:p>
      </xdr:txBody>
    </xdr:sp>
    <xdr:clientData/>
  </xdr:twoCellAnchor>
  <xdr:twoCellAnchor>
    <xdr:from>
      <xdr:col>18</xdr:col>
      <xdr:colOff>9525</xdr:colOff>
      <xdr:row>0</xdr:row>
      <xdr:rowOff>133350</xdr:rowOff>
    </xdr:from>
    <xdr:to>
      <xdr:col>31</xdr:col>
      <xdr:colOff>19050</xdr:colOff>
      <xdr:row>1</xdr:row>
      <xdr:rowOff>114300</xdr:rowOff>
    </xdr:to>
    <xdr:sp>
      <xdr:nvSpPr>
        <xdr:cNvPr id="10" name="Rectangle 24"/>
        <xdr:cNvSpPr>
          <a:spLocks/>
        </xdr:cNvSpPr>
      </xdr:nvSpPr>
      <xdr:spPr>
        <a:xfrm>
          <a:off x="13030200" y="133350"/>
          <a:ext cx="6562725" cy="3238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Métricas de Contratación</a:t>
          </a:r>
        </a:p>
      </xdr:txBody>
    </xdr:sp>
    <xdr:clientData/>
  </xdr:twoCellAnchor>
  <xdr:twoCellAnchor>
    <xdr:from>
      <xdr:col>21</xdr:col>
      <xdr:colOff>514350</xdr:colOff>
      <xdr:row>37</xdr:row>
      <xdr:rowOff>0</xdr:rowOff>
    </xdr:from>
    <xdr:to>
      <xdr:col>26</xdr:col>
      <xdr:colOff>514350</xdr:colOff>
      <xdr:row>48</xdr:row>
      <xdr:rowOff>0</xdr:rowOff>
    </xdr:to>
    <xdr:graphicFrame>
      <xdr:nvGraphicFramePr>
        <xdr:cNvPr id="11" name="Chart 25"/>
        <xdr:cNvGraphicFramePr/>
      </xdr:nvGraphicFramePr>
      <xdr:xfrm>
        <a:off x="15363825" y="7343775"/>
        <a:ext cx="214312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19050</xdr:colOff>
      <xdr:row>23</xdr:row>
      <xdr:rowOff>0</xdr:rowOff>
    </xdr:from>
    <xdr:to>
      <xdr:col>31</xdr:col>
      <xdr:colOff>0</xdr:colOff>
      <xdr:row>36</xdr:row>
      <xdr:rowOff>0</xdr:rowOff>
    </xdr:to>
    <xdr:graphicFrame>
      <xdr:nvGraphicFramePr>
        <xdr:cNvPr id="12" name="Chart 26"/>
        <xdr:cNvGraphicFramePr/>
      </xdr:nvGraphicFramePr>
      <xdr:xfrm>
        <a:off x="17011650" y="4648200"/>
        <a:ext cx="2562225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7"/>
  <sheetViews>
    <sheetView tabSelected="1" zoomScale="80" zoomScaleNormal="80" zoomScalePageLayoutView="30" workbookViewId="0" topLeftCell="A1">
      <selection activeCell="A1" sqref="A1:B1"/>
    </sheetView>
  </sheetViews>
  <sheetFormatPr defaultColWidth="9.140625" defaultRowHeight="15"/>
  <cols>
    <col min="1" max="1" width="4.7109375" style="0" customWidth="1"/>
    <col min="2" max="2" width="43.421875" style="0" customWidth="1"/>
    <col min="3" max="3" width="9.57421875" style="0" hidden="1" customWidth="1"/>
    <col min="4" max="4" width="10.421875" style="0" customWidth="1"/>
    <col min="5" max="5" width="10.28125" style="0" customWidth="1"/>
    <col min="6" max="9" width="11.421875" style="0" bestFit="1" customWidth="1"/>
    <col min="10" max="11" width="9.7109375" style="0" customWidth="1"/>
    <col min="12" max="13" width="10.00390625" style="0" customWidth="1"/>
    <col min="14" max="14" width="10.28125" style="0" customWidth="1"/>
    <col min="15" max="15" width="10.421875" style="0" customWidth="1"/>
    <col min="18" max="18" width="2.28125" style="0" customWidth="1"/>
    <col min="23" max="23" width="9.140625" style="0" customWidth="1"/>
    <col min="24" max="24" width="2.7109375" style="0" customWidth="1"/>
    <col min="26" max="26" width="2.00390625" style="0" customWidth="1"/>
    <col min="29" max="29" width="2.140625" style="0" customWidth="1"/>
    <col min="32" max="32" width="2.8515625" style="0" customWidth="1"/>
  </cols>
  <sheetData>
    <row r="1" spans="1:32" ht="27">
      <c r="A1" s="16" t="s">
        <v>3</v>
      </c>
      <c r="B1" s="1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thickBot="1">
      <c r="A2" s="18" t="s">
        <v>4</v>
      </c>
      <c r="B2" s="19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8:32" ht="15.75" thickTop="1"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8:32" ht="15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thickBot="1">
      <c r="A5" s="22" t="s">
        <v>17</v>
      </c>
      <c r="B5" s="23"/>
      <c r="C5" s="2" t="s">
        <v>0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5.75" thickTop="1">
      <c r="B6" t="s">
        <v>21</v>
      </c>
      <c r="D6" s="39">
        <v>121</v>
      </c>
      <c r="E6" s="29">
        <f>E25*E10/1000*E9</f>
        <v>161.00000000000003</v>
      </c>
      <c r="F6" s="29">
        <f>F25*F10/1000*F9</f>
        <v>122.50000000000001</v>
      </c>
      <c r="G6" s="29">
        <f>G25*G10/1000*G9</f>
        <v>168.99999999999997</v>
      </c>
      <c r="H6" s="29">
        <f>H25*H10/1000*H9</f>
        <v>156.6</v>
      </c>
      <c r="I6" s="29">
        <f>I25*I10/1000*I9</f>
        <v>179.80000000000004</v>
      </c>
      <c r="J6" s="29">
        <f aca="true" t="shared" si="0" ref="J6:O6">J25*J10/1000*J9</f>
        <v>180</v>
      </c>
      <c r="K6" s="29">
        <f t="shared" si="0"/>
        <v>186</v>
      </c>
      <c r="L6" s="29">
        <f t="shared" si="0"/>
        <v>191.99999999999997</v>
      </c>
      <c r="M6" s="29">
        <f t="shared" si="0"/>
        <v>198</v>
      </c>
      <c r="N6" s="29">
        <f t="shared" si="0"/>
        <v>204</v>
      </c>
      <c r="O6" s="29">
        <f t="shared" si="0"/>
        <v>210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5">
      <c r="B7" t="s">
        <v>30</v>
      </c>
      <c r="D7" s="29">
        <f aca="true" t="shared" si="1" ref="D7:I7">D6/D25*1000</f>
        <v>3025</v>
      </c>
      <c r="E7" s="29">
        <f t="shared" si="1"/>
        <v>3833.333333333334</v>
      </c>
      <c r="F7" s="29">
        <f t="shared" si="1"/>
        <v>2848.837209302326</v>
      </c>
      <c r="G7" s="29">
        <f t="shared" si="1"/>
        <v>3673.9130434782605</v>
      </c>
      <c r="H7" s="29">
        <f t="shared" si="1"/>
        <v>3262.4999999999995</v>
      </c>
      <c r="I7" s="29">
        <f t="shared" si="1"/>
        <v>3457.692307692308</v>
      </c>
      <c r="J7" s="29">
        <f>J6/J25*1000</f>
        <v>3333.3333333333335</v>
      </c>
      <c r="K7" s="29">
        <f>K6/K25*1000</f>
        <v>3321.4285714285716</v>
      </c>
      <c r="L7" s="29">
        <f>L6/L25*1000</f>
        <v>3310.3448275862065</v>
      </c>
      <c r="M7" s="29">
        <f>M6/M25*1000</f>
        <v>3300</v>
      </c>
      <c r="N7" s="29">
        <f>N6/N25*1000</f>
        <v>3290.3225806451615</v>
      </c>
      <c r="O7" s="29">
        <f>O6/O25*1000</f>
        <v>3281.25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15">
      <c r="B8" t="s">
        <v>51</v>
      </c>
      <c r="D8" s="40">
        <v>12</v>
      </c>
      <c r="E8" s="40">
        <v>12</v>
      </c>
      <c r="F8" s="40">
        <v>12</v>
      </c>
      <c r="G8" s="40">
        <v>12</v>
      </c>
      <c r="H8" s="40">
        <v>12</v>
      </c>
      <c r="I8" s="40">
        <v>12</v>
      </c>
      <c r="J8" s="40">
        <v>12</v>
      </c>
      <c r="K8" s="40">
        <v>12</v>
      </c>
      <c r="L8" s="40">
        <v>12</v>
      </c>
      <c r="M8" s="40">
        <v>12</v>
      </c>
      <c r="N8" s="40">
        <v>12</v>
      </c>
      <c r="O8" s="40">
        <v>12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15">
      <c r="B9" t="s">
        <v>31</v>
      </c>
      <c r="D9" s="3">
        <v>5.5</v>
      </c>
      <c r="E9" s="3">
        <v>7</v>
      </c>
      <c r="F9" s="3">
        <v>5</v>
      </c>
      <c r="G9" s="3">
        <v>6.5</v>
      </c>
      <c r="H9" s="3">
        <v>5.8</v>
      </c>
      <c r="I9" s="3">
        <v>6.2</v>
      </c>
      <c r="J9" s="3">
        <v>6</v>
      </c>
      <c r="K9" s="3">
        <v>6</v>
      </c>
      <c r="L9" s="3">
        <v>6</v>
      </c>
      <c r="M9" s="3">
        <v>6</v>
      </c>
      <c r="N9" s="3">
        <v>6</v>
      </c>
      <c r="O9" s="3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15">
      <c r="B10" t="s">
        <v>33</v>
      </c>
      <c r="D10" s="29">
        <f aca="true" t="shared" si="2" ref="D10:O10">D14/D25*1000</f>
        <v>550</v>
      </c>
      <c r="E10" s="29">
        <f t="shared" si="2"/>
        <v>547.6190476190477</v>
      </c>
      <c r="F10" s="29">
        <f t="shared" si="2"/>
        <v>569.7674418604652</v>
      </c>
      <c r="G10" s="29">
        <f t="shared" si="2"/>
        <v>565.2173913043478</v>
      </c>
      <c r="H10" s="29">
        <f t="shared" si="2"/>
        <v>562.5</v>
      </c>
      <c r="I10" s="29">
        <f t="shared" si="2"/>
        <v>557.6923076923077</v>
      </c>
      <c r="J10" s="29">
        <f t="shared" si="2"/>
        <v>555.5555555555555</v>
      </c>
      <c r="K10" s="29">
        <f t="shared" si="2"/>
        <v>553.5714285714286</v>
      </c>
      <c r="L10" s="29">
        <f t="shared" si="2"/>
        <v>551.7241379310344</v>
      </c>
      <c r="M10" s="29">
        <f t="shared" si="2"/>
        <v>550</v>
      </c>
      <c r="N10" s="29">
        <f t="shared" si="2"/>
        <v>548.3870967741935</v>
      </c>
      <c r="O10" s="29">
        <f t="shared" si="2"/>
        <v>546.875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15">
      <c r="B11" t="s">
        <v>29</v>
      </c>
      <c r="D11" s="29">
        <f aca="true" t="shared" si="3" ref="D11:O11">D20/D24*1000</f>
        <v>514.3564356435644</v>
      </c>
      <c r="E11" s="29">
        <f t="shared" si="3"/>
        <v>519.1695652173913</v>
      </c>
      <c r="F11" s="29">
        <f t="shared" si="3"/>
        <v>523.9981751756441</v>
      </c>
      <c r="G11" s="29">
        <f t="shared" si="3"/>
        <v>527.6183874210645</v>
      </c>
      <c r="H11" s="29">
        <f t="shared" si="3"/>
        <v>537.224822700688</v>
      </c>
      <c r="I11" s="29">
        <f t="shared" si="3"/>
        <v>541.7076100852591</v>
      </c>
      <c r="J11" s="29">
        <f t="shared" si="3"/>
        <v>545.5074747526369</v>
      </c>
      <c r="K11" s="29">
        <f t="shared" si="3"/>
        <v>548.6700484630287</v>
      </c>
      <c r="L11" s="29">
        <f t="shared" si="3"/>
        <v>551.2534843340743</v>
      </c>
      <c r="M11" s="29">
        <f t="shared" si="3"/>
        <v>553.8013963269738</v>
      </c>
      <c r="N11" s="29">
        <f t="shared" si="3"/>
        <v>556.3048890823534</v>
      </c>
      <c r="O11" s="29">
        <f t="shared" si="3"/>
        <v>558.2937320813377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4:32" ht="15">
      <c r="D12" s="4"/>
      <c r="E12" s="4"/>
      <c r="F12" s="4"/>
      <c r="G12" s="4"/>
      <c r="H12" s="4"/>
      <c r="I12" s="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thickBot="1">
      <c r="A13" s="22" t="s">
        <v>32</v>
      </c>
      <c r="B13" s="23"/>
      <c r="C13" s="2" t="s">
        <v>0</v>
      </c>
      <c r="D13" s="15" t="s">
        <v>5</v>
      </c>
      <c r="E13" s="15" t="s">
        <v>6</v>
      </c>
      <c r="F13" s="15" t="s">
        <v>7</v>
      </c>
      <c r="G13" s="15" t="s">
        <v>8</v>
      </c>
      <c r="H13" s="15" t="s">
        <v>9</v>
      </c>
      <c r="I13" s="15" t="s">
        <v>10</v>
      </c>
      <c r="J13" s="15" t="s">
        <v>11</v>
      </c>
      <c r="K13" s="15" t="s">
        <v>12</v>
      </c>
      <c r="L13" s="15" t="s">
        <v>13</v>
      </c>
      <c r="M13" s="15" t="s">
        <v>14</v>
      </c>
      <c r="N13" s="15" t="s">
        <v>15</v>
      </c>
      <c r="O13" s="15" t="s">
        <v>16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ht="15.75" thickTop="1">
      <c r="B14" t="s">
        <v>23</v>
      </c>
      <c r="D14" s="26">
        <v>22</v>
      </c>
      <c r="E14" s="26">
        <v>23</v>
      </c>
      <c r="F14" s="26">
        <v>24.5</v>
      </c>
      <c r="G14" s="26">
        <v>26</v>
      </c>
      <c r="H14" s="26">
        <v>27</v>
      </c>
      <c r="I14" s="26">
        <v>29</v>
      </c>
      <c r="J14" s="26">
        <v>30</v>
      </c>
      <c r="K14" s="26">
        <v>31</v>
      </c>
      <c r="L14" s="26">
        <v>32</v>
      </c>
      <c r="M14" s="26">
        <v>33</v>
      </c>
      <c r="N14" s="26">
        <v>34</v>
      </c>
      <c r="O14" s="26">
        <v>35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ht="15">
      <c r="B15" t="s">
        <v>34</v>
      </c>
      <c r="D15" s="33">
        <f>-D31*C20</f>
        <v>-8.4</v>
      </c>
      <c r="E15" s="33">
        <f>-E31*D20</f>
        <v>-11.2212</v>
      </c>
      <c r="F15" s="33">
        <f>-F31*E20</f>
        <v>-9.0273204</v>
      </c>
      <c r="G15" s="33">
        <f>-G31*F20</f>
        <v>-8.949888832000001</v>
      </c>
      <c r="H15" s="33">
        <f>-H31*G20</f>
        <v>-8.851853685763201</v>
      </c>
      <c r="I15" s="33">
        <f>-I31*H20</f>
        <v>-8.838422783071719</v>
      </c>
      <c r="J15" s="33">
        <f aca="true" t="shared" si="4" ref="J15:O15">-J31*I20</f>
        <v>-8.748577902876935</v>
      </c>
      <c r="K15" s="33">
        <f t="shared" si="4"/>
        <v>-8.623382160889683</v>
      </c>
      <c r="L15" s="33">
        <f t="shared" si="4"/>
        <v>-8.460492147299902</v>
      </c>
      <c r="M15" s="33">
        <f t="shared" si="4"/>
        <v>-8.855887225826903</v>
      </c>
      <c r="N15" s="33">
        <f t="shared" si="4"/>
        <v>-9.262328353568636</v>
      </c>
      <c r="O15" s="33">
        <f t="shared" si="4"/>
        <v>-9.67970507003295</v>
      </c>
      <c r="P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ht="15">
      <c r="B16" s="31" t="s">
        <v>35</v>
      </c>
      <c r="C16" s="31"/>
      <c r="D16" s="32">
        <f>D32*C20</f>
        <v>2</v>
      </c>
      <c r="E16" s="32">
        <f>E32*D20</f>
        <v>2.4936000000000003</v>
      </c>
      <c r="F16" s="32">
        <f>F32*E20</f>
        <v>2.149362</v>
      </c>
      <c r="G16" s="32">
        <f>G32*F20</f>
        <v>1.3424833248</v>
      </c>
      <c r="H16" s="32">
        <f>H32*G20</f>
        <v>6.988305541392</v>
      </c>
      <c r="I16" s="32">
        <f>I32*H20</f>
        <v>3.437164415639002</v>
      </c>
      <c r="J16" s="32">
        <f aca="true" t="shared" si="5" ref="J16:O16">J32*I20</f>
        <v>3.087733377485977</v>
      </c>
      <c r="K16" s="32">
        <f t="shared" si="5"/>
        <v>2.694806925278026</v>
      </c>
      <c r="L16" s="32">
        <f t="shared" si="5"/>
        <v>2.8201640490999678</v>
      </c>
      <c r="M16" s="32">
        <f t="shared" si="5"/>
        <v>2.951962408608968</v>
      </c>
      <c r="N16" s="32">
        <f t="shared" si="5"/>
        <v>3.0874427845228785</v>
      </c>
      <c r="O16" s="32">
        <f t="shared" si="5"/>
        <v>3.22656835667765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ht="15.75" thickBot="1">
      <c r="B17" s="34" t="s">
        <v>36</v>
      </c>
      <c r="C17" s="35"/>
      <c r="D17" s="36">
        <f aca="true" t="shared" si="6" ref="D17:I17">D14+D15+D16</f>
        <v>15.6</v>
      </c>
      <c r="E17" s="36">
        <f t="shared" si="6"/>
        <v>14.272400000000001</v>
      </c>
      <c r="F17" s="36">
        <f t="shared" si="6"/>
        <v>17.6220416</v>
      </c>
      <c r="G17" s="36">
        <f t="shared" si="6"/>
        <v>18.3925944928</v>
      </c>
      <c r="H17" s="36">
        <f t="shared" si="6"/>
        <v>25.1364518556288</v>
      </c>
      <c r="I17" s="36">
        <f t="shared" si="6"/>
        <v>23.598741632567283</v>
      </c>
      <c r="J17" s="36">
        <f>J14+J15+J16</f>
        <v>24.339155474609043</v>
      </c>
      <c r="K17" s="36">
        <f>K14+K15+K16</f>
        <v>25.071424764388343</v>
      </c>
      <c r="L17" s="36">
        <f>L14+L15+L16</f>
        <v>26.359671901800066</v>
      </c>
      <c r="M17" s="36">
        <f>M14+M15+M16</f>
        <v>27.096075182782062</v>
      </c>
      <c r="N17" s="36">
        <f>N14+N15+N16</f>
        <v>27.825114430954244</v>
      </c>
      <c r="O17" s="36">
        <f>O14+O15+O16</f>
        <v>28.546863286644697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4:32" ht="15.75" thickTop="1">
      <c r="D18" s="4"/>
      <c r="E18" s="4"/>
      <c r="F18" s="4"/>
      <c r="G18" s="4"/>
      <c r="H18" s="4"/>
      <c r="I18" s="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5">
      <c r="B19" t="s">
        <v>27</v>
      </c>
      <c r="D19" s="29">
        <v>400</v>
      </c>
      <c r="E19" s="29">
        <f>D20</f>
        <v>415.6</v>
      </c>
      <c r="F19" s="29">
        <f>E20</f>
        <v>429.8724</v>
      </c>
      <c r="G19" s="29">
        <f>F20</f>
        <v>447.4944416</v>
      </c>
      <c r="H19" s="29">
        <f>G20</f>
        <v>465.88703609280003</v>
      </c>
      <c r="I19" s="29">
        <f>H20</f>
        <v>491.02348794842885</v>
      </c>
      <c r="J19" s="29">
        <f aca="true" t="shared" si="7" ref="J19:O19">I20</f>
        <v>514.6222295809962</v>
      </c>
      <c r="K19" s="29">
        <f t="shared" si="7"/>
        <v>538.9613850556052</v>
      </c>
      <c r="L19" s="29">
        <f t="shared" si="7"/>
        <v>564.0328098199935</v>
      </c>
      <c r="M19" s="29">
        <f t="shared" si="7"/>
        <v>590.3924817217936</v>
      </c>
      <c r="N19" s="29">
        <f t="shared" si="7"/>
        <v>617.4885569045757</v>
      </c>
      <c r="O19" s="29">
        <f t="shared" si="7"/>
        <v>645.31367133553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5">
      <c r="B20" t="s">
        <v>28</v>
      </c>
      <c r="C20" s="5">
        <v>400</v>
      </c>
      <c r="D20" s="30">
        <f aca="true" t="shared" si="8" ref="D20:O20">C20+D17</f>
        <v>415.6</v>
      </c>
      <c r="E20" s="30">
        <f t="shared" si="8"/>
        <v>429.8724</v>
      </c>
      <c r="F20" s="30">
        <f t="shared" si="8"/>
        <v>447.4944416</v>
      </c>
      <c r="G20" s="30">
        <f t="shared" si="8"/>
        <v>465.88703609280003</v>
      </c>
      <c r="H20" s="30">
        <f t="shared" si="8"/>
        <v>491.02348794842885</v>
      </c>
      <c r="I20" s="30">
        <f t="shared" si="8"/>
        <v>514.6222295809962</v>
      </c>
      <c r="J20" s="30">
        <f t="shared" si="8"/>
        <v>538.9613850556052</v>
      </c>
      <c r="K20" s="30">
        <f t="shared" si="8"/>
        <v>564.0328098199935</v>
      </c>
      <c r="L20" s="30">
        <f t="shared" si="8"/>
        <v>590.3924817217936</v>
      </c>
      <c r="M20" s="30">
        <f t="shared" si="8"/>
        <v>617.4885569045757</v>
      </c>
      <c r="N20" s="30">
        <f t="shared" si="8"/>
        <v>645.31367133553</v>
      </c>
      <c r="O20" s="30">
        <f t="shared" si="8"/>
        <v>673.8605346221747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5">
      <c r="B21" t="s">
        <v>1</v>
      </c>
      <c r="C21" s="6">
        <f>C20*12</f>
        <v>4800</v>
      </c>
      <c r="D21" s="30">
        <f aca="true" t="shared" si="9" ref="D21:I21">D20*12</f>
        <v>4987.200000000001</v>
      </c>
      <c r="E21" s="30">
        <f t="shared" si="9"/>
        <v>5158.468800000001</v>
      </c>
      <c r="F21" s="30">
        <f t="shared" si="9"/>
        <v>5369.9332992</v>
      </c>
      <c r="G21" s="30">
        <f t="shared" si="9"/>
        <v>5590.644433113601</v>
      </c>
      <c r="H21" s="30">
        <f t="shared" si="9"/>
        <v>5892.281855381147</v>
      </c>
      <c r="I21" s="30">
        <f t="shared" si="9"/>
        <v>6175.466754971954</v>
      </c>
      <c r="J21" s="30">
        <f>J20*12</f>
        <v>6467.5366206672625</v>
      </c>
      <c r="K21" s="30">
        <f>K20*12</f>
        <v>6768.393717839923</v>
      </c>
      <c r="L21" s="30">
        <f>L20*12</f>
        <v>7084.709780661524</v>
      </c>
      <c r="M21" s="30">
        <f>M20*12</f>
        <v>7409.862682854909</v>
      </c>
      <c r="N21" s="30">
        <f>N20*12</f>
        <v>7743.76405602636</v>
      </c>
      <c r="O21" s="30">
        <f>O20*12</f>
        <v>8086.326415466096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8:32" ht="15"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thickBot="1">
      <c r="A23" s="22" t="s">
        <v>24</v>
      </c>
      <c r="B23" s="23"/>
      <c r="C23" s="2" t="s">
        <v>0</v>
      </c>
      <c r="D23" s="15" t="s">
        <v>5</v>
      </c>
      <c r="E23" s="15" t="s">
        <v>6</v>
      </c>
      <c r="F23" s="15" t="s">
        <v>7</v>
      </c>
      <c r="G23" s="15" t="s">
        <v>8</v>
      </c>
      <c r="H23" s="15" t="s">
        <v>9</v>
      </c>
      <c r="I23" s="15" t="s">
        <v>10</v>
      </c>
      <c r="J23" s="15" t="s">
        <v>11</v>
      </c>
      <c r="K23" s="15" t="s">
        <v>12</v>
      </c>
      <c r="L23" s="15" t="s">
        <v>13</v>
      </c>
      <c r="M23" s="15" t="s">
        <v>14</v>
      </c>
      <c r="N23" s="15" t="s">
        <v>15</v>
      </c>
      <c r="O23" s="15" t="s">
        <v>16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.75" thickTop="1">
      <c r="B24" t="s">
        <v>18</v>
      </c>
      <c r="C24" s="7">
        <v>792</v>
      </c>
      <c r="D24" s="8">
        <f>C24+D28</f>
        <v>808</v>
      </c>
      <c r="E24" s="8">
        <f>D24+E28</f>
        <v>828</v>
      </c>
      <c r="F24" s="8">
        <f>E24+F28</f>
        <v>854</v>
      </c>
      <c r="G24" s="8">
        <f>F24+G28</f>
        <v>883</v>
      </c>
      <c r="H24" s="8">
        <f>G24+H28</f>
        <v>914</v>
      </c>
      <c r="I24" s="8">
        <f>H24+I28</f>
        <v>950</v>
      </c>
      <c r="J24" s="8">
        <f>I24+J28</f>
        <v>988</v>
      </c>
      <c r="K24" s="8">
        <f>J24+K28</f>
        <v>1028</v>
      </c>
      <c r="L24" s="8">
        <f>K24+L28</f>
        <v>1071</v>
      </c>
      <c r="M24" s="8">
        <f>L24+M28</f>
        <v>1115</v>
      </c>
      <c r="N24" s="8">
        <f>M24+N28</f>
        <v>1160</v>
      </c>
      <c r="O24" s="8">
        <f>N24+O28</f>
        <v>1207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t="s">
        <v>21</v>
      </c>
      <c r="D25" s="14">
        <v>40</v>
      </c>
      <c r="E25" s="14">
        <v>42</v>
      </c>
      <c r="F25" s="14">
        <v>43</v>
      </c>
      <c r="G25" s="14">
        <v>46</v>
      </c>
      <c r="H25" s="14">
        <v>48</v>
      </c>
      <c r="I25" s="14">
        <v>52</v>
      </c>
      <c r="J25" s="14">
        <v>54</v>
      </c>
      <c r="K25" s="14">
        <v>56</v>
      </c>
      <c r="L25" s="14">
        <v>58</v>
      </c>
      <c r="M25" s="14">
        <v>60</v>
      </c>
      <c r="N25" s="14">
        <v>62</v>
      </c>
      <c r="O25" s="14">
        <v>64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t="s">
        <v>20</v>
      </c>
      <c r="D26" s="14"/>
      <c r="E26" s="25">
        <v>0.03</v>
      </c>
      <c r="F26" s="25">
        <v>0.03</v>
      </c>
      <c r="G26" s="25">
        <v>0.03</v>
      </c>
      <c r="H26" s="25">
        <v>0.03</v>
      </c>
      <c r="I26" s="25">
        <v>0.03</v>
      </c>
      <c r="J26" s="25">
        <v>0.03</v>
      </c>
      <c r="K26" s="25">
        <v>0.03</v>
      </c>
      <c r="L26" s="25">
        <v>0.03</v>
      </c>
      <c r="M26" s="25">
        <v>0.03</v>
      </c>
      <c r="N26" s="25">
        <v>0.03</v>
      </c>
      <c r="O26" s="25">
        <v>0.03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t="s">
        <v>19</v>
      </c>
      <c r="D27" s="24">
        <v>-24</v>
      </c>
      <c r="E27" s="8">
        <f>-ROUND(E31*D24,0)</f>
        <v>-22</v>
      </c>
      <c r="F27" s="8">
        <f>-ROUND(F31*E24,0)</f>
        <v>-17</v>
      </c>
      <c r="G27" s="8">
        <f>-ROUND(G31*F24,0)</f>
        <v>-17</v>
      </c>
      <c r="H27" s="8">
        <f>-ROUND(H31*G24,0)</f>
        <v>-17</v>
      </c>
      <c r="I27" s="8">
        <f>-ROUND(I31*H24,0)</f>
        <v>-16</v>
      </c>
      <c r="J27" s="8">
        <f>-ROUND(J31*I24,0)</f>
        <v>-16</v>
      </c>
      <c r="K27" s="8">
        <f>-ROUND(K31*J24,0)</f>
        <v>-16</v>
      </c>
      <c r="L27" s="8">
        <f>-ROUND(L31*K24,0)</f>
        <v>-15</v>
      </c>
      <c r="M27" s="8">
        <f>-ROUND(M31*L24,0)</f>
        <v>-16</v>
      </c>
      <c r="N27" s="8">
        <f>-ROUND(N31*M24,0)</f>
        <v>-17</v>
      </c>
      <c r="O27" s="8">
        <f>-ROUND(O31*N24,0)</f>
        <v>-17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9" t="s">
        <v>22</v>
      </c>
      <c r="C28" s="10"/>
      <c r="D28" s="11">
        <f>D25+D27</f>
        <v>16</v>
      </c>
      <c r="E28" s="11">
        <f>E25+E27</f>
        <v>20</v>
      </c>
      <c r="F28" s="11">
        <f>F25+F27</f>
        <v>26</v>
      </c>
      <c r="G28" s="11">
        <f>G25+G27</f>
        <v>29</v>
      </c>
      <c r="H28" s="11">
        <f>H25+H27</f>
        <v>31</v>
      </c>
      <c r="I28" s="11">
        <f>I25+I27</f>
        <v>36</v>
      </c>
      <c r="J28" s="11">
        <f>J25+J27</f>
        <v>38</v>
      </c>
      <c r="K28" s="11">
        <f>K25+K27</f>
        <v>40</v>
      </c>
      <c r="L28" s="11">
        <f>L25+L27</f>
        <v>43</v>
      </c>
      <c r="M28" s="11">
        <f>M25+M27</f>
        <v>44</v>
      </c>
      <c r="N28" s="11">
        <f>N25+N27</f>
        <v>45</v>
      </c>
      <c r="O28" s="11">
        <f>O25+O27</f>
        <v>47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8:32" ht="15"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">
      <c r="B30" t="s">
        <v>25</v>
      </c>
      <c r="D30" s="12">
        <f>-D27/C24</f>
        <v>0.030303030303030304</v>
      </c>
      <c r="E30" s="12">
        <f>-E27/D24</f>
        <v>0.027227722772277228</v>
      </c>
      <c r="F30" s="12">
        <f>-F27/E24</f>
        <v>0.020531400966183576</v>
      </c>
      <c r="G30" s="12">
        <f>-G27/F24</f>
        <v>0.01990632318501171</v>
      </c>
      <c r="H30" s="12">
        <f>-H27/G24</f>
        <v>0.01925254813137033</v>
      </c>
      <c r="I30" s="12">
        <f>-I27/H24</f>
        <v>0.0175054704595186</v>
      </c>
      <c r="J30" s="12">
        <f aca="true" t="shared" si="10" ref="J30:O30">-J27/I24</f>
        <v>0.016842105263157894</v>
      </c>
      <c r="K30" s="12">
        <f t="shared" si="10"/>
        <v>0.016194331983805668</v>
      </c>
      <c r="L30" s="12">
        <f t="shared" si="10"/>
        <v>0.014591439688715954</v>
      </c>
      <c r="M30" s="12">
        <f t="shared" si="10"/>
        <v>0.014939309056956116</v>
      </c>
      <c r="N30" s="12">
        <f t="shared" si="10"/>
        <v>0.015246636771300448</v>
      </c>
      <c r="O30" s="12">
        <f t="shared" si="10"/>
        <v>0.014655172413793103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">
      <c r="B31" t="s">
        <v>37</v>
      </c>
      <c r="D31" s="27">
        <v>0.021</v>
      </c>
      <c r="E31" s="27">
        <v>0.027</v>
      </c>
      <c r="F31" s="27">
        <v>0.021</v>
      </c>
      <c r="G31" s="27">
        <v>0.02</v>
      </c>
      <c r="H31" s="27">
        <v>0.019</v>
      </c>
      <c r="I31" s="27">
        <v>0.018</v>
      </c>
      <c r="J31" s="27">
        <v>0.017</v>
      </c>
      <c r="K31" s="27">
        <v>0.016</v>
      </c>
      <c r="L31" s="27">
        <v>0.015</v>
      </c>
      <c r="M31" s="27">
        <v>0.015</v>
      </c>
      <c r="N31" s="27">
        <v>0.015</v>
      </c>
      <c r="O31" s="27">
        <v>0.015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">
      <c r="B32" t="s">
        <v>38</v>
      </c>
      <c r="D32" s="27">
        <v>0.005</v>
      </c>
      <c r="E32" s="27">
        <v>0.006</v>
      </c>
      <c r="F32" s="27">
        <v>0.005</v>
      </c>
      <c r="G32" s="27">
        <v>0.003</v>
      </c>
      <c r="H32" s="27">
        <v>0.015</v>
      </c>
      <c r="I32" s="27">
        <v>0.007</v>
      </c>
      <c r="J32" s="28">
        <v>0.006</v>
      </c>
      <c r="K32" s="28">
        <v>0.005</v>
      </c>
      <c r="L32" s="28">
        <v>0.005</v>
      </c>
      <c r="M32" s="28">
        <v>0.005</v>
      </c>
      <c r="N32" s="28">
        <v>0.005</v>
      </c>
      <c r="O32" s="28">
        <v>0.005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">
      <c r="B33" s="9" t="s">
        <v>26</v>
      </c>
      <c r="C33" s="9"/>
      <c r="D33" s="13">
        <f aca="true" t="shared" si="11" ref="D33:O33">(-D15-D16)/D19</f>
        <v>0.016</v>
      </c>
      <c r="E33" s="13">
        <f t="shared" si="11"/>
        <v>0.020999999999999998</v>
      </c>
      <c r="F33" s="13">
        <f t="shared" si="11"/>
        <v>0.016</v>
      </c>
      <c r="G33" s="13">
        <f t="shared" si="11"/>
        <v>0.017</v>
      </c>
      <c r="H33" s="13">
        <f t="shared" si="11"/>
        <v>0.004000000000000002</v>
      </c>
      <c r="I33" s="13">
        <f t="shared" si="11"/>
        <v>0.011000000000000001</v>
      </c>
      <c r="J33" s="13">
        <f t="shared" si="11"/>
        <v>0.011000000000000001</v>
      </c>
      <c r="K33" s="13">
        <f t="shared" si="11"/>
        <v>0.011</v>
      </c>
      <c r="L33" s="13">
        <f t="shared" si="11"/>
        <v>0.009999999999999998</v>
      </c>
      <c r="M33" s="13">
        <f t="shared" si="11"/>
        <v>0.009999999999999998</v>
      </c>
      <c r="N33" s="13">
        <f t="shared" si="11"/>
        <v>0.01</v>
      </c>
      <c r="O33" s="13">
        <f t="shared" si="11"/>
        <v>0.010000000000000002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8:32" ht="15"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thickBot="1">
      <c r="A35" s="22" t="s">
        <v>39</v>
      </c>
      <c r="B35" s="23"/>
      <c r="C35" s="2" t="s">
        <v>0</v>
      </c>
      <c r="D35" s="15" t="s">
        <v>5</v>
      </c>
      <c r="E35" s="15" t="s">
        <v>6</v>
      </c>
      <c r="F35" s="15" t="s">
        <v>7</v>
      </c>
      <c r="G35" s="15" t="s">
        <v>8</v>
      </c>
      <c r="H35" s="15" t="s">
        <v>9</v>
      </c>
      <c r="I35" s="15" t="s">
        <v>10</v>
      </c>
      <c r="J35" s="15" t="s">
        <v>11</v>
      </c>
      <c r="K35" s="15" t="s">
        <v>12</v>
      </c>
      <c r="L35" s="15" t="s">
        <v>13</v>
      </c>
      <c r="M35" s="15" t="s">
        <v>14</v>
      </c>
      <c r="N35" s="15" t="s">
        <v>15</v>
      </c>
      <c r="O35" s="15" t="s">
        <v>16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.75" thickTop="1">
      <c r="B36" t="s">
        <v>40</v>
      </c>
      <c r="D36" s="30">
        <f>D10*D46/D31</f>
        <v>21738.095238095237</v>
      </c>
      <c r="E36" s="30">
        <f>E10*E46/E31</f>
        <v>16834.215167548504</v>
      </c>
      <c r="F36" s="30">
        <f>F10*F46/F31</f>
        <v>22519.37984496124</v>
      </c>
      <c r="G36" s="30">
        <f>G10*G46/G31</f>
        <v>23456.521739130432</v>
      </c>
      <c r="H36" s="30">
        <f>H10*H46/H31</f>
        <v>24572.368421052633</v>
      </c>
      <c r="I36" s="30">
        <f>I10*I46/I31</f>
        <v>25715.81196581197</v>
      </c>
      <c r="J36" s="30">
        <f>J10*J46/J31</f>
        <v>27124.183006535943</v>
      </c>
      <c r="K36" s="30">
        <f>K10*K46/K31</f>
        <v>28716.517857142855</v>
      </c>
      <c r="L36" s="30">
        <f>L10*L46/L31</f>
        <v>30528.735632183903</v>
      </c>
      <c r="M36" s="30">
        <f>M10*M46/M31</f>
        <v>30433.333333333336</v>
      </c>
      <c r="N36" s="30">
        <f>N10*N46/N31</f>
        <v>30344.086021505376</v>
      </c>
      <c r="O36" s="30">
        <f>O10*O46/O31</f>
        <v>30260.416666666668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">
      <c r="B37" t="s">
        <v>41</v>
      </c>
      <c r="D37" s="29">
        <f>D49/D25*1000</f>
        <v>8750</v>
      </c>
      <c r="E37" s="29">
        <f>E49/E25*1000</f>
        <v>8571.42857142857</v>
      </c>
      <c r="F37" s="29">
        <f>F49/F25*1000</f>
        <v>8604.651162790697</v>
      </c>
      <c r="G37" s="29">
        <f>G49/G25*1000</f>
        <v>8260.86956521739</v>
      </c>
      <c r="H37" s="29">
        <f>H49/H25*1000</f>
        <v>8125</v>
      </c>
      <c r="I37" s="29">
        <f>I49/I25*1000</f>
        <v>7692.307692307692</v>
      </c>
      <c r="J37" s="29">
        <f>J49/J25*1000</f>
        <v>7407.407407407408</v>
      </c>
      <c r="K37" s="29">
        <f>K49/K25*1000</f>
        <v>7142.857142857143</v>
      </c>
      <c r="L37" s="29">
        <f>L49/L25*1000</f>
        <v>6896.55172413793</v>
      </c>
      <c r="M37" s="29">
        <f>M49/M25*1000</f>
        <v>6666.666666666667</v>
      </c>
      <c r="N37" s="29">
        <f>N49/N25*1000</f>
        <v>6451.612903225806</v>
      </c>
      <c r="O37" s="29">
        <f>O49/O25*1000</f>
        <v>6250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">
      <c r="B38" t="s">
        <v>42</v>
      </c>
      <c r="D38" s="3">
        <f aca="true" t="shared" si="12" ref="D38:I38">D36/D37</f>
        <v>2.4843537414965984</v>
      </c>
      <c r="E38" s="3">
        <f t="shared" si="12"/>
        <v>1.9639917695473257</v>
      </c>
      <c r="F38" s="3">
        <f t="shared" si="12"/>
        <v>2.6171171171171173</v>
      </c>
      <c r="G38" s="3">
        <f t="shared" si="12"/>
        <v>2.8394736842105264</v>
      </c>
      <c r="H38" s="3">
        <f t="shared" si="12"/>
        <v>3.024291497975709</v>
      </c>
      <c r="I38" s="3">
        <f t="shared" si="12"/>
        <v>3.343055555555556</v>
      </c>
      <c r="J38" s="3">
        <f>J36/J37</f>
        <v>3.661764705882352</v>
      </c>
      <c r="K38" s="3">
        <f>K36/K37</f>
        <v>4.020312499999999</v>
      </c>
      <c r="L38" s="3">
        <f>L36/L37</f>
        <v>4.426666666666667</v>
      </c>
      <c r="M38" s="3">
        <f>M36/M37</f>
        <v>4.565</v>
      </c>
      <c r="N38" s="3">
        <f>N36/N37</f>
        <v>4.703333333333334</v>
      </c>
      <c r="O38" s="3">
        <f>O36/O37</f>
        <v>4.841666666666667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">
      <c r="B39" t="s">
        <v>48</v>
      </c>
      <c r="D39" s="7">
        <f>D37/(D10*D46)</f>
        <v>19.167579408543265</v>
      </c>
      <c r="E39" s="7">
        <f>E37/(E10*E46)</f>
        <v>18.858040859088526</v>
      </c>
      <c r="F39" s="7">
        <f>F37/(F10*F46)</f>
        <v>18.19522989918859</v>
      </c>
      <c r="G39" s="7">
        <f>G37/(G10*G46)</f>
        <v>17.608897126969417</v>
      </c>
      <c r="H39" s="7">
        <f>H37/(H10*H46)</f>
        <v>17.402945113788487</v>
      </c>
      <c r="I39" s="7">
        <f>I37/(I10*I46)</f>
        <v>16.61819692563357</v>
      </c>
      <c r="J39" s="7">
        <f>J37/(J10*J46)</f>
        <v>16.06425702811245</v>
      </c>
      <c r="K39" s="7">
        <f>K37/(K10*K46)</f>
        <v>15.546055188495922</v>
      </c>
      <c r="L39" s="7">
        <f>L37/(L10*L46)</f>
        <v>15.060240963855422</v>
      </c>
      <c r="M39" s="7">
        <f>M37/(M10*M46)</f>
        <v>14.603870025556773</v>
      </c>
      <c r="N39" s="7">
        <f>N37/(N10*N46)</f>
        <v>14.17434443656981</v>
      </c>
      <c r="O39" s="7">
        <f>O37/(O10*O46)</f>
        <v>13.769363166953529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8:32" ht="15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8:32" ht="15"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thickBot="1">
      <c r="A42" s="22" t="s">
        <v>49</v>
      </c>
      <c r="B42" s="23"/>
      <c r="C42" s="2" t="s">
        <v>0</v>
      </c>
      <c r="D42" s="15" t="s">
        <v>5</v>
      </c>
      <c r="E42" s="15" t="s">
        <v>6</v>
      </c>
      <c r="F42" s="15" t="s">
        <v>7</v>
      </c>
      <c r="G42" s="15" t="s">
        <v>8</v>
      </c>
      <c r="H42" s="15" t="s">
        <v>9</v>
      </c>
      <c r="I42" s="15" t="s">
        <v>10</v>
      </c>
      <c r="J42" s="15" t="s">
        <v>11</v>
      </c>
      <c r="K42" s="15" t="s">
        <v>12</v>
      </c>
      <c r="L42" s="15" t="s">
        <v>13</v>
      </c>
      <c r="M42" s="15" t="s">
        <v>14</v>
      </c>
      <c r="N42" s="15" t="s">
        <v>15</v>
      </c>
      <c r="O42" s="15" t="s">
        <v>16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.75" thickTop="1">
      <c r="B43" t="s">
        <v>50</v>
      </c>
      <c r="D43" s="29">
        <f aca="true" t="shared" si="13" ref="D43:O43">D20</f>
        <v>415.6</v>
      </c>
      <c r="E43" s="29">
        <f t="shared" si="13"/>
        <v>429.8724</v>
      </c>
      <c r="F43" s="29">
        <f t="shared" si="13"/>
        <v>447.4944416</v>
      </c>
      <c r="G43" s="29">
        <f t="shared" si="13"/>
        <v>465.88703609280003</v>
      </c>
      <c r="H43" s="29">
        <f t="shared" si="13"/>
        <v>491.02348794842885</v>
      </c>
      <c r="I43" s="29">
        <f t="shared" si="13"/>
        <v>514.6222295809962</v>
      </c>
      <c r="J43" s="29">
        <f t="shared" si="13"/>
        <v>538.9613850556052</v>
      </c>
      <c r="K43" s="29">
        <f t="shared" si="13"/>
        <v>564.0328098199935</v>
      </c>
      <c r="L43" s="29">
        <f t="shared" si="13"/>
        <v>590.3924817217936</v>
      </c>
      <c r="M43" s="29">
        <f t="shared" si="13"/>
        <v>617.4885569045757</v>
      </c>
      <c r="N43" s="29">
        <f t="shared" si="13"/>
        <v>645.31367133553</v>
      </c>
      <c r="O43" s="29">
        <f t="shared" si="13"/>
        <v>673.8605346221747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">
      <c r="B44" t="s">
        <v>52</v>
      </c>
      <c r="D44" s="30">
        <f aca="true" t="shared" si="14" ref="D44:I44">(1-D46)*D43</f>
        <v>70.65200000000002</v>
      </c>
      <c r="E44" s="30">
        <f t="shared" si="14"/>
        <v>73.07830800000002</v>
      </c>
      <c r="F44" s="30">
        <f t="shared" si="14"/>
        <v>76.07405507200002</v>
      </c>
      <c r="G44" s="30">
        <f t="shared" si="14"/>
        <v>79.20079613577603</v>
      </c>
      <c r="H44" s="30">
        <f t="shared" si="14"/>
        <v>83.47399295123293</v>
      </c>
      <c r="I44" s="30">
        <f t="shared" si="14"/>
        <v>87.48577902876937</v>
      </c>
      <c r="J44" s="30">
        <f>(1-J46)*J43</f>
        <v>91.6234354594529</v>
      </c>
      <c r="K44" s="30">
        <f>(1-K46)*K43</f>
        <v>95.88557766939893</v>
      </c>
      <c r="L44" s="30">
        <f>(1-L46)*L43</f>
        <v>100.36672189270494</v>
      </c>
      <c r="M44" s="30">
        <f>(1-M46)*M43</f>
        <v>104.9730546737779</v>
      </c>
      <c r="N44" s="30">
        <f>(1-N46)*N43</f>
        <v>109.70332412704012</v>
      </c>
      <c r="O44" s="30">
        <f>(1-O46)*O43</f>
        <v>114.55629088576973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">
      <c r="B45" t="s">
        <v>43</v>
      </c>
      <c r="D45" s="30">
        <f aca="true" t="shared" si="15" ref="D45:I45">D43-D44</f>
        <v>344.948</v>
      </c>
      <c r="E45" s="30">
        <f t="shared" si="15"/>
        <v>356.794092</v>
      </c>
      <c r="F45" s="30">
        <f t="shared" si="15"/>
        <v>371.420386528</v>
      </c>
      <c r="G45" s="30">
        <f t="shared" si="15"/>
        <v>386.686239957024</v>
      </c>
      <c r="H45" s="30">
        <f t="shared" si="15"/>
        <v>407.5494949971959</v>
      </c>
      <c r="I45" s="30">
        <f t="shared" si="15"/>
        <v>427.13645055222685</v>
      </c>
      <c r="J45" s="30">
        <f>J43-J44</f>
        <v>447.33794959615227</v>
      </c>
      <c r="K45" s="30">
        <f>K43-K44</f>
        <v>468.1472321505946</v>
      </c>
      <c r="L45" s="30">
        <f>L43-L44</f>
        <v>490.02575982908866</v>
      </c>
      <c r="M45" s="30">
        <f>M43-M44</f>
        <v>512.5155022307978</v>
      </c>
      <c r="N45" s="30">
        <f>N43-N44</f>
        <v>535.6103472084899</v>
      </c>
      <c r="O45" s="30">
        <f>O43-O44</f>
        <v>559.3042437364049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">
      <c r="B46" t="s">
        <v>43</v>
      </c>
      <c r="D46" s="37">
        <v>0.83</v>
      </c>
      <c r="E46" s="37">
        <v>0.83</v>
      </c>
      <c r="F46" s="37">
        <v>0.83</v>
      </c>
      <c r="G46" s="37">
        <v>0.83</v>
      </c>
      <c r="H46" s="37">
        <v>0.83</v>
      </c>
      <c r="I46" s="37">
        <v>0.83</v>
      </c>
      <c r="J46" s="37">
        <v>0.83</v>
      </c>
      <c r="K46" s="37">
        <v>0.83</v>
      </c>
      <c r="L46" s="37">
        <v>0.83</v>
      </c>
      <c r="M46" s="37">
        <v>0.83</v>
      </c>
      <c r="N46" s="37">
        <v>0.83</v>
      </c>
      <c r="O46" s="37">
        <v>0.83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8:32" ht="15"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5">
      <c r="B48" t="s">
        <v>44</v>
      </c>
      <c r="D48" s="30">
        <f aca="true" t="shared" si="16" ref="D48:O48">SUM(D49:D51)</f>
        <v>640</v>
      </c>
      <c r="E48" s="30">
        <f t="shared" si="16"/>
        <v>650</v>
      </c>
      <c r="F48" s="30">
        <f t="shared" si="16"/>
        <v>660</v>
      </c>
      <c r="G48" s="30">
        <f t="shared" si="16"/>
        <v>670</v>
      </c>
      <c r="H48" s="30">
        <f t="shared" si="16"/>
        <v>680</v>
      </c>
      <c r="I48" s="30">
        <f t="shared" si="16"/>
        <v>690</v>
      </c>
      <c r="J48" s="30">
        <f t="shared" si="16"/>
        <v>690</v>
      </c>
      <c r="K48" s="30">
        <f t="shared" si="16"/>
        <v>690</v>
      </c>
      <c r="L48" s="30">
        <f t="shared" si="16"/>
        <v>690</v>
      </c>
      <c r="M48" s="30">
        <f t="shared" si="16"/>
        <v>690</v>
      </c>
      <c r="N48" s="30">
        <f t="shared" si="16"/>
        <v>690</v>
      </c>
      <c r="O48" s="30">
        <f t="shared" si="16"/>
        <v>690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>
      <c r="B49" t="s">
        <v>45</v>
      </c>
      <c r="D49" s="38">
        <v>350</v>
      </c>
      <c r="E49" s="38">
        <v>360</v>
      </c>
      <c r="F49" s="38">
        <v>370</v>
      </c>
      <c r="G49" s="38">
        <v>380</v>
      </c>
      <c r="H49" s="38">
        <v>390</v>
      </c>
      <c r="I49" s="38">
        <v>400</v>
      </c>
      <c r="J49" s="38">
        <v>400</v>
      </c>
      <c r="K49" s="38">
        <v>400</v>
      </c>
      <c r="L49" s="38">
        <v>400</v>
      </c>
      <c r="M49" s="38">
        <v>400</v>
      </c>
      <c r="N49" s="38">
        <v>400</v>
      </c>
      <c r="O49" s="38">
        <v>400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>
      <c r="B50" t="s">
        <v>46</v>
      </c>
      <c r="D50" s="38">
        <v>180</v>
      </c>
      <c r="E50" s="38">
        <v>180</v>
      </c>
      <c r="F50" s="38">
        <v>180</v>
      </c>
      <c r="G50" s="38">
        <v>180</v>
      </c>
      <c r="H50" s="38">
        <v>180</v>
      </c>
      <c r="I50" s="38">
        <v>180</v>
      </c>
      <c r="J50" s="38">
        <v>180</v>
      </c>
      <c r="K50" s="38">
        <v>180</v>
      </c>
      <c r="L50" s="38">
        <v>180</v>
      </c>
      <c r="M50" s="38">
        <v>180</v>
      </c>
      <c r="N50" s="38">
        <v>180</v>
      </c>
      <c r="O50" s="38">
        <v>180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>
      <c r="B51" t="s">
        <v>47</v>
      </c>
      <c r="D51" s="38">
        <v>110</v>
      </c>
      <c r="E51" s="38">
        <v>110</v>
      </c>
      <c r="F51" s="38">
        <v>110</v>
      </c>
      <c r="G51" s="38">
        <v>110</v>
      </c>
      <c r="H51" s="38">
        <v>110</v>
      </c>
      <c r="I51" s="38">
        <v>110</v>
      </c>
      <c r="J51" s="38">
        <v>110</v>
      </c>
      <c r="K51" s="38">
        <v>110</v>
      </c>
      <c r="L51" s="38">
        <v>110</v>
      </c>
      <c r="M51" s="38">
        <v>110</v>
      </c>
      <c r="N51" s="38">
        <v>110</v>
      </c>
      <c r="O51" s="38">
        <v>110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8:32" ht="15"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.75" thickBot="1">
      <c r="B53" s="41" t="s">
        <v>2</v>
      </c>
      <c r="C53" s="41"/>
      <c r="D53" s="42">
        <f aca="true" t="shared" si="17" ref="D53:I53">D45-D48</f>
        <v>-295.052</v>
      </c>
      <c r="E53" s="42">
        <f t="shared" si="17"/>
        <v>-293.205908</v>
      </c>
      <c r="F53" s="42">
        <f t="shared" si="17"/>
        <v>-288.579613472</v>
      </c>
      <c r="G53" s="42">
        <f t="shared" si="17"/>
        <v>-283.313760042976</v>
      </c>
      <c r="H53" s="42">
        <f t="shared" si="17"/>
        <v>-272.4505050028041</v>
      </c>
      <c r="I53" s="42">
        <f>I45-I48</f>
        <v>-262.86354944777315</v>
      </c>
      <c r="J53" s="42">
        <f aca="true" t="shared" si="18" ref="J53:O53">J45-J48</f>
        <v>-242.66205040384773</v>
      </c>
      <c r="K53" s="42">
        <f t="shared" si="18"/>
        <v>-221.85276784940538</v>
      </c>
      <c r="L53" s="42">
        <f t="shared" si="18"/>
        <v>-199.97424017091134</v>
      </c>
      <c r="M53" s="42">
        <f t="shared" si="18"/>
        <v>-177.48449776920222</v>
      </c>
      <c r="N53" s="42">
        <f t="shared" si="18"/>
        <v>-154.38965279151012</v>
      </c>
      <c r="O53" s="42">
        <f t="shared" si="18"/>
        <v>-130.69575626359506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8:32" ht="15.75" thickTop="1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8:32" ht="15"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4:32" ht="15">
      <c r="D56" s="4"/>
      <c r="E56" s="4"/>
      <c r="F56" s="4"/>
      <c r="G56" s="4"/>
      <c r="H56" s="4"/>
      <c r="I56" s="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8:32" ht="15"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8:32" ht="15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8:32" ht="15"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8:32" ht="15"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8:32" ht="15"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8:32" ht="15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8:32" ht="15"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8:32" ht="15"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8:32" ht="15"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8:32" ht="15"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18:32" ht="15"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</row>
    <row r="68" spans="18:32" ht="15"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8:32" ht="15"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</row>
    <row r="70" spans="18:32" ht="15"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</row>
    <row r="71" spans="18:32" ht="15"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</row>
    <row r="72" spans="18:32" ht="15"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</row>
    <row r="73" spans="18:32" ht="15"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</row>
    <row r="74" spans="18:32" ht="15"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</row>
    <row r="75" spans="18:32" ht="15"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</row>
    <row r="76" spans="18:32" ht="15"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18:32" ht="15"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</row>
    <row r="78" spans="18:32" ht="15"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</row>
    <row r="79" spans="18:32" ht="15"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18:32" ht="15"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</row>
    <row r="81" spans="18:32" ht="15"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</row>
    <row r="82" spans="18:32" ht="15"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</row>
    <row r="83" spans="18:32" ht="15"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</row>
    <row r="84" spans="18:32" ht="15"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8:32" ht="15"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8:32" ht="15"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8:32" ht="15"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8:32" ht="15"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</row>
    <row r="89" spans="18:32" ht="15"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</row>
    <row r="90" spans="18:32" ht="15"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</row>
    <row r="91" spans="18:32" ht="15"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</row>
    <row r="92" spans="18:32" ht="15"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</row>
    <row r="93" spans="18:32" ht="15"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</row>
    <row r="94" spans="18:32" ht="15"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</row>
    <row r="95" spans="18:32" ht="15"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</row>
    <row r="96" spans="18:32" ht="15"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</row>
    <row r="97" spans="18:32" ht="15"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</row>
    <row r="98" spans="18:32" ht="15"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</row>
    <row r="99" spans="18:32" ht="15"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</row>
    <row r="100" spans="18:32" ht="15"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</row>
    <row r="101" spans="18:32" ht="15"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</row>
    <row r="102" spans="18:32" ht="15"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</row>
    <row r="103" spans="18:32" ht="15"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</row>
    <row r="104" spans="18:32" ht="15"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</row>
    <row r="105" spans="18:32" ht="15"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18:32" ht="15"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</row>
    <row r="107" spans="18:32" ht="15"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</row>
    <row r="108" spans="18:32" ht="15"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</row>
    <row r="109" spans="18:32" ht="15"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</row>
    <row r="110" spans="18:32" ht="15"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</row>
    <row r="111" spans="18:32" ht="15"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</row>
    <row r="112" spans="18:32" ht="15"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</row>
    <row r="113" spans="18:32" ht="15"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</row>
    <row r="114" spans="18:32" ht="15"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</row>
    <row r="115" spans="18:32" ht="15"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18:32" ht="15"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</row>
    <row r="117" spans="18:32" ht="15"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</row>
    <row r="118" spans="18:32" ht="15"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</row>
    <row r="119" spans="18:32" ht="15"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</row>
    <row r="120" spans="18:32" ht="15"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</row>
    <row r="121" spans="18:32" ht="15"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</row>
    <row r="122" spans="18:32" ht="15"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</row>
    <row r="123" spans="18:32" ht="15"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</row>
    <row r="124" spans="18:32" ht="15"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</row>
    <row r="125" spans="18:32" ht="15"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</row>
    <row r="126" spans="18:32" ht="15"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</row>
    <row r="127" spans="18:32" ht="15"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</row>
    <row r="128" spans="18:32" ht="15"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</row>
    <row r="129" spans="18:32" ht="15"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</row>
    <row r="130" spans="18:32" ht="15"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</row>
    <row r="131" spans="18:32" ht="15"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</row>
    <row r="132" spans="18:32" ht="15"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</row>
    <row r="133" spans="18:32" ht="15"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</row>
    <row r="134" spans="18:32" ht="15"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</row>
    <row r="135" spans="18:32" ht="15"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</row>
    <row r="136" spans="18:32" ht="15"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</row>
    <row r="137" spans="18:32" ht="15"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Dashboard SaaS</dc:title>
  <dc:subject/>
  <dc:creator/>
  <cp:keywords/>
  <dc:description/>
  <cp:lastModifiedBy>Sergio Montoro Ten</cp:lastModifiedBy>
  <dcterms:created xsi:type="dcterms:W3CDTF">2012-12-02T18:46:26Z</dcterms:created>
  <dcterms:modified xsi:type="dcterms:W3CDTF">2013-04-12T14:52:23Z</dcterms:modified>
  <cp:category/>
  <cp:version/>
  <cp:contentType/>
  <cp:contentStatus/>
</cp:coreProperties>
</file>